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<sst xmlns="http://schemas.openxmlformats.org/spreadsheetml/2006/main" count="1356" uniqueCount="298">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</sst>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10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Лист1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7">
        <row r="6">
          <cell r="G6">
            <v>31765.02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7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79" sqref="G7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296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293</v>
      </c>
      <c r="N3" s="240" t="s">
        <v>294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291</v>
      </c>
      <c r="F4" s="226" t="s">
        <v>116</v>
      </c>
      <c r="G4" s="244" t="s">
        <v>292</v>
      </c>
      <c r="H4" s="246" t="s">
        <v>284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297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295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408876.64</v>
      </c>
      <c r="G8" s="18">
        <f aca="true" t="shared" si="0" ref="G8:G54">F8-E8</f>
        <v>-4199.4599999999045</v>
      </c>
      <c r="H8" s="45">
        <f>F8/E8*100</f>
        <v>98.98336892403121</v>
      </c>
      <c r="I8" s="31">
        <f aca="true" t="shared" si="1" ref="I8:I54">F8-D8</f>
        <v>-163412.36</v>
      </c>
      <c r="J8" s="31">
        <f aca="true" t="shared" si="2" ref="J8:J14">F8/D8*100</f>
        <v>71.44583243780677</v>
      </c>
      <c r="K8" s="18">
        <f>K9+K15+K18+K19+K20+K32</f>
        <v>86232.31599999998</v>
      </c>
      <c r="L8" s="18"/>
      <c r="M8" s="18">
        <f>M9+M15+M18+M19+M20+M32+M17</f>
        <v>84902.7</v>
      </c>
      <c r="N8" s="18">
        <f>N9+N15+N18+N19+N20+N32+N17</f>
        <v>42104.40999999997</v>
      </c>
      <c r="O8" s="31">
        <f aca="true" t="shared" si="3" ref="O8:O54">N8-M8</f>
        <v>-42798.29000000003</v>
      </c>
      <c r="P8" s="31">
        <f>F8/M8*100</f>
        <v>481.58261162483643</v>
      </c>
      <c r="Q8" s="31">
        <f>N8-33748.16</f>
        <v>8356.249999999964</v>
      </c>
      <c r="R8" s="125">
        <f>N8/33748.16</f>
        <v>1.2476060917098877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226612.88</v>
      </c>
      <c r="G9" s="43">
        <f t="shared" si="0"/>
        <v>4088.2300000000105</v>
      </c>
      <c r="H9" s="35">
        <f aca="true" t="shared" si="4" ref="H9:H32">F9/E9*100</f>
        <v>101.83720320422928</v>
      </c>
      <c r="I9" s="50">
        <f t="shared" si="1"/>
        <v>-86077.12</v>
      </c>
      <c r="J9" s="50">
        <f t="shared" si="2"/>
        <v>72.47205858837826</v>
      </c>
      <c r="K9" s="132">
        <f>F9-250278.43/75*60</f>
        <v>26390.136</v>
      </c>
      <c r="L9" s="132">
        <f>F9/(250278.43/75*60)*100</f>
        <v>113.18038873745533</v>
      </c>
      <c r="M9" s="35">
        <f>E9-липень!E9</f>
        <v>34220</v>
      </c>
      <c r="N9" s="35">
        <f>F9-липень!F9</f>
        <v>23178.440000000002</v>
      </c>
      <c r="O9" s="47">
        <f t="shared" si="3"/>
        <v>-11041.559999999998</v>
      </c>
      <c r="P9" s="50">
        <f aca="true" t="shared" si="5" ref="P9:P32">N9/M9*100</f>
        <v>67.73360607831678</v>
      </c>
      <c r="Q9" s="132">
        <f>N9-26568.11</f>
        <v>-3389.6699999999983</v>
      </c>
      <c r="R9" s="133">
        <f>N9/26568.11</f>
        <v>0.8724158398922619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189778.9</v>
      </c>
      <c r="G10" s="135">
        <f t="shared" si="0"/>
        <v>-6221.350000000006</v>
      </c>
      <c r="H10" s="137">
        <f t="shared" si="4"/>
        <v>96.82584588540065</v>
      </c>
      <c r="I10" s="136">
        <f t="shared" si="1"/>
        <v>-50631.100000000006</v>
      </c>
      <c r="J10" s="136">
        <f t="shared" si="2"/>
        <v>78.93968636911943</v>
      </c>
      <c r="K10" s="138">
        <f>F10-222647.03/75*60</f>
        <v>11661.276000000013</v>
      </c>
      <c r="L10" s="138">
        <f>F10/(222647.03/75*60)*100</f>
        <v>106.54695236671247</v>
      </c>
      <c r="M10" s="35">
        <f>E10-липень!E10</f>
        <v>30770</v>
      </c>
      <c r="N10" s="35">
        <f>F10-липень!F10</f>
        <v>9708.929999999993</v>
      </c>
      <c r="O10" s="138">
        <f t="shared" si="3"/>
        <v>-21061.070000000007</v>
      </c>
      <c r="P10" s="136">
        <f t="shared" si="5"/>
        <v>31.55323366915825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10793.45</v>
      </c>
      <c r="G11" s="135">
        <f t="shared" si="0"/>
        <v>-3894.5499999999993</v>
      </c>
      <c r="H11" s="137">
        <f t="shared" si="4"/>
        <v>73.48481753812636</v>
      </c>
      <c r="I11" s="136">
        <f t="shared" si="1"/>
        <v>-12906.55</v>
      </c>
      <c r="J11" s="136">
        <f t="shared" si="2"/>
        <v>45.54198312236287</v>
      </c>
      <c r="K11" s="138">
        <f>F11-15880.56/75*60</f>
        <v>-1910.9979999999996</v>
      </c>
      <c r="L11" s="138">
        <f>F11/(15880.56/75*60)*100</f>
        <v>84.95803989279975</v>
      </c>
      <c r="M11" s="35">
        <f>E11-липень!E11</f>
        <v>1980</v>
      </c>
      <c r="N11" s="35">
        <f>F11-липень!F11</f>
        <v>2.0600000000013097</v>
      </c>
      <c r="O11" s="138">
        <f t="shared" si="3"/>
        <v>-1977.9399999999987</v>
      </c>
      <c r="P11" s="136">
        <f t="shared" si="5"/>
        <v>0.10404040404047019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3137.31</v>
      </c>
      <c r="G12" s="135">
        <f t="shared" si="0"/>
        <v>-111.69000000000005</v>
      </c>
      <c r="H12" s="137">
        <f t="shared" si="4"/>
        <v>96.56232686980609</v>
      </c>
      <c r="I12" s="136">
        <f t="shared" si="1"/>
        <v>-2662.69</v>
      </c>
      <c r="J12" s="136">
        <f t="shared" si="2"/>
        <v>54.09155172413793</v>
      </c>
      <c r="K12" s="138">
        <f>F12-4856.12/75*60</f>
        <v>-747.5859999999998</v>
      </c>
      <c r="L12" s="138">
        <f>F12/(4856.12*60)*100</f>
        <v>1.076754693047124</v>
      </c>
      <c r="M12" s="35">
        <f>E12-липень!E12</f>
        <v>420</v>
      </c>
      <c r="N12" s="35">
        <f>F12-липень!F12</f>
        <v>84.38999999999987</v>
      </c>
      <c r="O12" s="138">
        <f t="shared" si="3"/>
        <v>-335.6100000000001</v>
      </c>
      <c r="P12" s="136">
        <f t="shared" si="5"/>
        <v>20.092857142857113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4275.84</v>
      </c>
      <c r="G13" s="135">
        <f t="shared" si="0"/>
        <v>-1497.5599999999995</v>
      </c>
      <c r="H13" s="137">
        <f t="shared" si="4"/>
        <v>74.06103855613677</v>
      </c>
      <c r="I13" s="136">
        <f t="shared" si="1"/>
        <v>-4124.16</v>
      </c>
      <c r="J13" s="136">
        <f t="shared" si="2"/>
        <v>50.90285714285715</v>
      </c>
      <c r="K13" s="138">
        <f>F13-6838.4/75*60</f>
        <v>-1194.8799999999992</v>
      </c>
      <c r="L13" s="138">
        <f>F13/(6838.4/75*60)*100</f>
        <v>78.15863359850258</v>
      </c>
      <c r="M13" s="35">
        <f>E13-липень!E13</f>
        <v>660</v>
      </c>
      <c r="N13" s="35">
        <f>F13-липень!F13</f>
        <v>215.82000000000016</v>
      </c>
      <c r="O13" s="138">
        <f t="shared" si="3"/>
        <v>-444.17999999999984</v>
      </c>
      <c r="P13" s="136">
        <f t="shared" si="5"/>
        <v>32.700000000000024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6104.59</v>
      </c>
      <c r="G14" s="135">
        <f t="shared" si="0"/>
        <v>3290.59</v>
      </c>
      <c r="H14" s="137">
        <f t="shared" si="4"/>
        <v>216.9363894811656</v>
      </c>
      <c r="I14" s="136">
        <f t="shared" si="1"/>
        <v>1724.5900000000001</v>
      </c>
      <c r="J14" s="136">
        <f t="shared" si="2"/>
        <v>139.37420091324202</v>
      </c>
      <c r="K14" s="138">
        <f>F14-56.31/75*60</f>
        <v>6059.542</v>
      </c>
      <c r="L14" s="138">
        <f>F14/(56.31/75*60)*100</f>
        <v>13551.300834665248</v>
      </c>
      <c r="M14" s="35">
        <f>E14-липень!E14</f>
        <v>390</v>
      </c>
      <c r="N14" s="35">
        <f>F14-липень!F14</f>
        <v>644.4700000000003</v>
      </c>
      <c r="O14" s="138">
        <f t="shared" si="3"/>
        <v>254.47000000000025</v>
      </c>
      <c r="P14" s="136">
        <f t="shared" si="5"/>
        <v>165.248717948718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-738.58</v>
      </c>
      <c r="G15" s="43">
        <f t="shared" si="0"/>
        <v>-909.8800000000001</v>
      </c>
      <c r="H15" s="35"/>
      <c r="I15" s="50">
        <f t="shared" si="1"/>
        <v>-738.58</v>
      </c>
      <c r="J15" s="50" t="e">
        <f>F15/D15*100</f>
        <v>#DIV/0!</v>
      </c>
      <c r="K15" s="53">
        <f>F15-72.71</f>
        <v>-811.2900000000001</v>
      </c>
      <c r="L15" s="53">
        <f>F15/72.71*100</f>
        <v>-1015.7887498280843</v>
      </c>
      <c r="M15" s="35">
        <f>E15-липень!E15</f>
        <v>0</v>
      </c>
      <c r="N15" s="35">
        <f>F15-липень!F15</f>
        <v>50.17999999999995</v>
      </c>
      <c r="O15" s="47">
        <f t="shared" si="3"/>
        <v>50.17999999999995</v>
      </c>
      <c r="P15" s="50"/>
      <c r="Q15" s="50">
        <f>N15-358.81</f>
        <v>-308.63000000000005</v>
      </c>
      <c r="R15" s="126">
        <f>N15/358.81</f>
        <v>0.13985117471642358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-1237.8</v>
      </c>
      <c r="G16" s="135">
        <f t="shared" si="0"/>
        <v>-1237.8</v>
      </c>
      <c r="H16" s="137"/>
      <c r="I16" s="136">
        <f t="shared" si="1"/>
        <v>-1237.8</v>
      </c>
      <c r="J16" s="136"/>
      <c r="K16" s="138">
        <f>F16-573.12</f>
        <v>-1810.92</v>
      </c>
      <c r="L16" s="138">
        <f>F16/573.12*100</f>
        <v>-215.9757118927973</v>
      </c>
      <c r="M16" s="35">
        <f>E16-липень!E16</f>
        <v>0</v>
      </c>
      <c r="N16" s="35">
        <f>F16-липень!F16</f>
        <v>48.340000000000146</v>
      </c>
      <c r="O16" s="138">
        <f t="shared" si="3"/>
        <v>48.340000000000146</v>
      </c>
      <c r="P16" s="50"/>
      <c r="Q16" s="136">
        <f>N16-358.81</f>
        <v>-310.46999999999986</v>
      </c>
      <c r="R16" s="141">
        <f>N16/358.79</f>
        <v>0.13473062236963165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37597.31</v>
      </c>
      <c r="G19" s="43">
        <f t="shared" si="0"/>
        <v>-6325.440000000002</v>
      </c>
      <c r="H19" s="35">
        <f t="shared" si="4"/>
        <v>85.59871592739525</v>
      </c>
      <c r="I19" s="50">
        <f t="shared" si="1"/>
        <v>-24612.690000000002</v>
      </c>
      <c r="J19" s="178">
        <f>F19/D19*100</f>
        <v>60.43611959492042</v>
      </c>
      <c r="K19" s="179">
        <f>F19-0</f>
        <v>37597.31</v>
      </c>
      <c r="L19" s="180"/>
      <c r="M19" s="35">
        <f>E19-липень!E19</f>
        <v>17700</v>
      </c>
      <c r="N19" s="35">
        <f>F19-липень!F19</f>
        <v>472.6999999999971</v>
      </c>
      <c r="O19" s="47">
        <f t="shared" si="3"/>
        <v>-17227.300000000003</v>
      </c>
      <c r="P19" s="50">
        <f t="shared" si="5"/>
        <v>2.6706214689265373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139815.18999999997</v>
      </c>
      <c r="G20" s="43">
        <f t="shared" si="0"/>
        <v>-877.1100000000151</v>
      </c>
      <c r="H20" s="35">
        <f t="shared" si="4"/>
        <v>99.37657569035404</v>
      </c>
      <c r="I20" s="50">
        <f t="shared" si="1"/>
        <v>-50054.81000000003</v>
      </c>
      <c r="J20" s="178">
        <f aca="true" t="shared" si="6" ref="J20:J46">F20/D20*100</f>
        <v>73.63732553852634</v>
      </c>
      <c r="K20" s="178">
        <f>K21+K25+K26+K27</f>
        <v>24833.239999999994</v>
      </c>
      <c r="L20" s="136"/>
      <c r="M20" s="35">
        <f>E20-липень!E20</f>
        <v>31232.59999999999</v>
      </c>
      <c r="N20" s="35">
        <f>F20-липень!F20</f>
        <v>16858.199999999968</v>
      </c>
      <c r="O20" s="47">
        <f t="shared" si="3"/>
        <v>-14374.400000000023</v>
      </c>
      <c r="P20" s="50">
        <f t="shared" si="5"/>
        <v>53.976294000499394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73048.20999999999</v>
      </c>
      <c r="G21" s="43">
        <f t="shared" si="0"/>
        <v>-4132.090000000011</v>
      </c>
      <c r="H21" s="35">
        <f t="shared" si="4"/>
        <v>94.6461856199056</v>
      </c>
      <c r="I21" s="50">
        <f t="shared" si="1"/>
        <v>-37251.79000000001</v>
      </c>
      <c r="J21" s="178">
        <f t="shared" si="6"/>
        <v>66.22684496826835</v>
      </c>
      <c r="K21" s="178">
        <f>K22+K23+K24</f>
        <v>18466.67</v>
      </c>
      <c r="L21" s="136"/>
      <c r="M21" s="35">
        <f>E21-липень!E21</f>
        <v>19677.100000000006</v>
      </c>
      <c r="N21" s="35">
        <f>F21-липень!F21</f>
        <v>5181.029999999999</v>
      </c>
      <c r="O21" s="47">
        <f t="shared" si="3"/>
        <v>-14496.070000000007</v>
      </c>
      <c r="P21" s="50">
        <f t="shared" si="5"/>
        <v>26.330251917203235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8594.5</v>
      </c>
      <c r="G22" s="135">
        <f t="shared" si="0"/>
        <v>-28.799999999999272</v>
      </c>
      <c r="H22" s="137">
        <f t="shared" si="4"/>
        <v>99.66602112880221</v>
      </c>
      <c r="I22" s="136">
        <f t="shared" si="1"/>
        <v>-2105.5</v>
      </c>
      <c r="J22" s="136">
        <f t="shared" si="6"/>
        <v>80.32242990654206</v>
      </c>
      <c r="K22" s="136">
        <f>F22-288.8</f>
        <v>8305.7</v>
      </c>
      <c r="L22" s="136">
        <f>F22/288.8*100</f>
        <v>2975.934903047091</v>
      </c>
      <c r="M22" s="137">
        <f>E22-липень!E22</f>
        <v>8044.099999999999</v>
      </c>
      <c r="N22" s="137">
        <f>F22-липень!F22</f>
        <v>138.51000000000022</v>
      </c>
      <c r="O22" s="138">
        <f t="shared" si="3"/>
        <v>-7905.589999999999</v>
      </c>
      <c r="P22" s="136">
        <f t="shared" si="5"/>
        <v>1.721883119304835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2366.12</v>
      </c>
      <c r="G23" s="135">
        <f t="shared" si="0"/>
        <v>888.1199999999999</v>
      </c>
      <c r="H23" s="137"/>
      <c r="I23" s="136">
        <f t="shared" si="1"/>
        <v>266.1199999999999</v>
      </c>
      <c r="J23" s="136">
        <f t="shared" si="6"/>
        <v>112.67238095238095</v>
      </c>
      <c r="K23" s="136">
        <f>F23-0</f>
        <v>2366.12</v>
      </c>
      <c r="L23" s="136"/>
      <c r="M23" s="137">
        <f>E23-липень!E23</f>
        <v>1103</v>
      </c>
      <c r="N23" s="137">
        <f>F23-липень!F23</f>
        <v>1592.9199999999998</v>
      </c>
      <c r="O23" s="138">
        <f t="shared" si="3"/>
        <v>489.91999999999985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62087.59</v>
      </c>
      <c r="G24" s="135">
        <f t="shared" si="0"/>
        <v>-4991.4100000000035</v>
      </c>
      <c r="H24" s="137">
        <f t="shared" si="4"/>
        <v>92.55890815307323</v>
      </c>
      <c r="I24" s="136">
        <f t="shared" si="1"/>
        <v>-35412.41</v>
      </c>
      <c r="J24" s="136">
        <f t="shared" si="6"/>
        <v>63.67957948717948</v>
      </c>
      <c r="K24" s="139">
        <f>F24-54292.74</f>
        <v>7794.8499999999985</v>
      </c>
      <c r="L24" s="139">
        <f>F24/54292.74*100</f>
        <v>114.3570761026244</v>
      </c>
      <c r="M24" s="137">
        <f>E24-липень!E24</f>
        <v>10530</v>
      </c>
      <c r="N24" s="137">
        <f>F24-липень!F24</f>
        <v>3449.5999999999985</v>
      </c>
      <c r="O24" s="138">
        <f t="shared" si="3"/>
        <v>-7080.4000000000015</v>
      </c>
      <c r="P24" s="136">
        <f t="shared" si="5"/>
        <v>32.75973409306741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49.25</v>
      </c>
      <c r="G25" s="43">
        <f t="shared" si="0"/>
        <v>13.75</v>
      </c>
      <c r="H25" s="35">
        <f t="shared" si="4"/>
        <v>138.73239436619718</v>
      </c>
      <c r="I25" s="50">
        <f t="shared" si="1"/>
        <v>-20.75</v>
      </c>
      <c r="J25" s="178">
        <f t="shared" si="6"/>
        <v>70.35714285714286</v>
      </c>
      <c r="K25" s="178">
        <f>F25-41.08</f>
        <v>8.170000000000002</v>
      </c>
      <c r="L25" s="178">
        <f>F25/41.08*100</f>
        <v>119.88802336903603</v>
      </c>
      <c r="M25" s="35">
        <f>E25-липень!E25</f>
        <v>5.5</v>
      </c>
      <c r="N25" s="35">
        <f>F25-липень!F25</f>
        <v>7.590000000000003</v>
      </c>
      <c r="O25" s="47">
        <f t="shared" si="3"/>
        <v>2.0900000000000034</v>
      </c>
      <c r="P25" s="50">
        <f t="shared" si="5"/>
        <v>138.00000000000006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-595.42</v>
      </c>
      <c r="G26" s="43">
        <f t="shared" si="0"/>
        <v>-595.42</v>
      </c>
      <c r="H26" s="35"/>
      <c r="I26" s="50">
        <f t="shared" si="1"/>
        <v>-595.42</v>
      </c>
      <c r="J26" s="136"/>
      <c r="K26" s="178">
        <f>F26-4244.7</f>
        <v>-4840.12</v>
      </c>
      <c r="L26" s="178">
        <f>F26/4244.7*100</f>
        <v>-14.027375315098828</v>
      </c>
      <c r="M26" s="35">
        <f>E26-липень!E26</f>
        <v>0</v>
      </c>
      <c r="N26" s="35">
        <f>F26-липень!F26</f>
        <v>-65.05999999999995</v>
      </c>
      <c r="O26" s="47">
        <f t="shared" si="3"/>
        <v>-65.05999999999995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67313.15</v>
      </c>
      <c r="G27" s="43">
        <f t="shared" si="0"/>
        <v>3836.649999999994</v>
      </c>
      <c r="H27" s="35">
        <f t="shared" si="4"/>
        <v>106.04420533583294</v>
      </c>
      <c r="I27" s="50">
        <f t="shared" si="1"/>
        <v>-12186.850000000006</v>
      </c>
      <c r="J27" s="178">
        <f t="shared" si="6"/>
        <v>84.6706289308176</v>
      </c>
      <c r="K27" s="132">
        <f>F27-56114.63</f>
        <v>11198.519999999997</v>
      </c>
      <c r="L27" s="132">
        <f>F27/56114.63*100</f>
        <v>119.9565068859939</v>
      </c>
      <c r="M27" s="35">
        <f>E27-липень!E27</f>
        <v>11550</v>
      </c>
      <c r="N27" s="35">
        <f>F27-липень!F27</f>
        <v>11734.639999999992</v>
      </c>
      <c r="O27" s="47">
        <f t="shared" si="3"/>
        <v>184.63999999999214</v>
      </c>
      <c r="P27" s="50">
        <f t="shared" si="5"/>
        <v>101.59861471861464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14534.59</v>
      </c>
      <c r="G29" s="135">
        <f t="shared" si="0"/>
        <v>-1045.4099999999999</v>
      </c>
      <c r="H29" s="137">
        <f t="shared" si="4"/>
        <v>93.2900513478819</v>
      </c>
      <c r="I29" s="136">
        <f t="shared" si="1"/>
        <v>-4665.41</v>
      </c>
      <c r="J29" s="136">
        <f t="shared" si="6"/>
        <v>75.70098958333334</v>
      </c>
      <c r="K29" s="139">
        <f>F29-15615.32</f>
        <v>-1080.7299999999996</v>
      </c>
      <c r="L29" s="139">
        <f>F29/15615.32*100</f>
        <v>93.07904032706342</v>
      </c>
      <c r="M29" s="35">
        <f>E29-липень!E29</f>
        <v>3340</v>
      </c>
      <c r="N29" s="35">
        <f>F29-липень!F29</f>
        <v>1455.7299999999996</v>
      </c>
      <c r="O29" s="138">
        <f t="shared" si="3"/>
        <v>-1884.2700000000004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45261.44</v>
      </c>
      <c r="G30" s="135">
        <f t="shared" si="0"/>
        <v>-2635.0599999999977</v>
      </c>
      <c r="H30" s="137">
        <f t="shared" si="4"/>
        <v>94.4984289039909</v>
      </c>
      <c r="I30" s="136">
        <f t="shared" si="1"/>
        <v>-15038.559999999998</v>
      </c>
      <c r="J30" s="136">
        <f t="shared" si="6"/>
        <v>75.0604311774461</v>
      </c>
      <c r="K30" s="139">
        <f>F30-40498.93</f>
        <v>4762.510000000002</v>
      </c>
      <c r="L30" s="139">
        <f>F30/40498.93*100</f>
        <v>111.75959463620397</v>
      </c>
      <c r="M30" s="35">
        <f>E30-липень!E30</f>
        <v>8210</v>
      </c>
      <c r="N30" s="35">
        <f>F30-липень!F30</f>
        <v>2770.4000000000015</v>
      </c>
      <c r="O30" s="138">
        <f t="shared" si="3"/>
        <v>-5439.5999999999985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5573.95</v>
      </c>
      <c r="G32" s="43">
        <f t="shared" si="0"/>
        <v>-178.15000000000055</v>
      </c>
      <c r="H32" s="35">
        <f t="shared" si="4"/>
        <v>96.90287025608038</v>
      </c>
      <c r="I32" s="50">
        <f t="shared" si="1"/>
        <v>-1926.0500000000002</v>
      </c>
      <c r="J32" s="178">
        <f t="shared" si="6"/>
        <v>74.31933333333333</v>
      </c>
      <c r="K32" s="178">
        <f>F32-7363.52</f>
        <v>-1789.5700000000006</v>
      </c>
      <c r="L32" s="178">
        <f>F32/5308.17*100</f>
        <v>105.00699864548422</v>
      </c>
      <c r="M32" s="35">
        <f>E32-липень!E32</f>
        <v>1750.1000000000004</v>
      </c>
      <c r="N32" s="35">
        <f>F32-липень!F32</f>
        <v>1544.8899999999999</v>
      </c>
      <c r="O32" s="47">
        <f t="shared" si="3"/>
        <v>-205.2100000000005</v>
      </c>
      <c r="P32" s="50">
        <f t="shared" si="5"/>
        <v>88.27438432089593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21125.58</v>
      </c>
      <c r="G33" s="44">
        <f t="shared" si="0"/>
        <v>1035.380000000001</v>
      </c>
      <c r="H33" s="45">
        <f>F33/E33*100</f>
        <v>105.1536570068989</v>
      </c>
      <c r="I33" s="31">
        <f t="shared" si="1"/>
        <v>-7581.519999999997</v>
      </c>
      <c r="J33" s="31">
        <f t="shared" si="6"/>
        <v>73.59008746965038</v>
      </c>
      <c r="K33" s="18">
        <f>K34+K35+K36+K37+K38+K41+K42+K47+K48+K52+K40</f>
        <v>12517.09</v>
      </c>
      <c r="L33" s="18"/>
      <c r="M33" s="18">
        <f>M34+M35+M36+M37+M38+M41+M42+M47+M48+M52+M40+M39</f>
        <v>12920.2</v>
      </c>
      <c r="N33" s="18">
        <f>N34+N35+N36+N37+N38+N41+N42+N47+N48+N52+N40+N39</f>
        <v>2300.3500000000004</v>
      </c>
      <c r="O33" s="49">
        <f t="shared" si="3"/>
        <v>-10619.85</v>
      </c>
      <c r="P33" s="31">
        <f>N33/M33*100</f>
        <v>17.804290955248373</v>
      </c>
      <c r="Q33" s="31">
        <f>N33-1017.63</f>
        <v>1282.7200000000003</v>
      </c>
      <c r="R33" s="127">
        <f>N33/1017.63</f>
        <v>2.2604974303037455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289.76</v>
      </c>
      <c r="G36" s="43">
        <f t="shared" si="0"/>
        <v>49.75999999999999</v>
      </c>
      <c r="H36" s="35"/>
      <c r="I36" s="50">
        <f t="shared" si="1"/>
        <v>49.75999999999999</v>
      </c>
      <c r="J36" s="50"/>
      <c r="K36" s="50">
        <f>F36-255.77</f>
        <v>33.98999999999998</v>
      </c>
      <c r="L36" s="50">
        <f>F36/255.77*100</f>
        <v>113.28928334050123</v>
      </c>
      <c r="M36" s="35">
        <f>E36-липень!E36</f>
        <v>240</v>
      </c>
      <c r="N36" s="35">
        <f>F36-липень!F36</f>
        <v>43.26999999999998</v>
      </c>
      <c r="O36" s="47">
        <f t="shared" si="3"/>
        <v>-196.73000000000002</v>
      </c>
      <c r="P36" s="50"/>
      <c r="Q36" s="50">
        <f>N36-4.23</f>
        <v>39.03999999999998</v>
      </c>
      <c r="R36" s="126">
        <f>N36/4.23</f>
        <v>10.229314420803778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98.15</v>
      </c>
      <c r="G38" s="43">
        <f t="shared" si="0"/>
        <v>8.150000000000006</v>
      </c>
      <c r="H38" s="35">
        <f>F38/E38*100</f>
        <v>109.05555555555557</v>
      </c>
      <c r="I38" s="50">
        <f t="shared" si="1"/>
        <v>-41.849999999999994</v>
      </c>
      <c r="J38" s="50">
        <f t="shared" si="6"/>
        <v>70.10714285714286</v>
      </c>
      <c r="K38" s="50">
        <f>F38-82.36</f>
        <v>15.790000000000006</v>
      </c>
      <c r="L38" s="50">
        <f>F38/82.36*100</f>
        <v>119.17192812044684</v>
      </c>
      <c r="M38" s="35">
        <f>E38-липень!E38</f>
        <v>10</v>
      </c>
      <c r="N38" s="35">
        <f>F38-липень!F38</f>
        <v>7.910000000000011</v>
      </c>
      <c r="O38" s="47">
        <f t="shared" si="3"/>
        <v>-2.089999999999989</v>
      </c>
      <c r="P38" s="50">
        <f>N38/M38*100</f>
        <v>79.10000000000011</v>
      </c>
      <c r="Q38" s="50">
        <f>N38-9.02</f>
        <v>-1.1099999999999888</v>
      </c>
      <c r="R38" s="126">
        <f>N38/9.02</f>
        <v>0.8769401330376952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6563.65</v>
      </c>
      <c r="G40" s="43"/>
      <c r="H40" s="35"/>
      <c r="I40" s="50">
        <f t="shared" si="1"/>
        <v>-2436.3500000000004</v>
      </c>
      <c r="J40" s="50"/>
      <c r="K40" s="50">
        <f>F40-0</f>
        <v>6563.65</v>
      </c>
      <c r="L40" s="50"/>
      <c r="M40" s="35">
        <f>E40-липень!E40</f>
        <v>6937</v>
      </c>
      <c r="N40" s="35">
        <f>F40-липень!F40</f>
        <v>625.9899999999998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5086.85</v>
      </c>
      <c r="G42" s="43">
        <f t="shared" si="0"/>
        <v>-107.84999999999945</v>
      </c>
      <c r="H42" s="35">
        <f>F42/E42*100</f>
        <v>97.92384545787053</v>
      </c>
      <c r="I42" s="50">
        <f t="shared" si="1"/>
        <v>-2013.1499999999996</v>
      </c>
      <c r="J42" s="50">
        <f t="shared" si="6"/>
        <v>71.64577464788732</v>
      </c>
      <c r="K42" s="50">
        <f>F42-685.66</f>
        <v>4401.1900000000005</v>
      </c>
      <c r="L42" s="50">
        <f>F42/685.66*100</f>
        <v>741.8910247061227</v>
      </c>
      <c r="M42" s="35">
        <f>E42-липень!E42</f>
        <v>4632.7</v>
      </c>
      <c r="N42" s="35">
        <f>F42-липень!F42</f>
        <v>394.6700000000001</v>
      </c>
      <c r="O42" s="47">
        <f t="shared" si="3"/>
        <v>-4238.03</v>
      </c>
      <c r="P42" s="50">
        <f>N42/M42*100</f>
        <v>8.51922205193516</v>
      </c>
      <c r="Q42" s="50">
        <f>N42-79.51</f>
        <v>315.1600000000001</v>
      </c>
      <c r="R42" s="126">
        <f>N42/79.51</f>
        <v>4.963778141114326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696.67</v>
      </c>
      <c r="G43" s="135">
        <f t="shared" si="0"/>
        <v>-63.33000000000004</v>
      </c>
      <c r="H43" s="137">
        <f>F43/E43*100</f>
        <v>91.6671052631579</v>
      </c>
      <c r="I43" s="136">
        <f t="shared" si="1"/>
        <v>-403.33000000000004</v>
      </c>
      <c r="J43" s="136">
        <f t="shared" si="6"/>
        <v>63.33363636363636</v>
      </c>
      <c r="K43" s="136">
        <f>F43-605.31</f>
        <v>91.36000000000001</v>
      </c>
      <c r="L43" s="136">
        <f>F43/605.31*100</f>
        <v>115.09309279542714</v>
      </c>
      <c r="M43" s="35">
        <f>E43-липень!E43</f>
        <v>270</v>
      </c>
      <c r="N43" s="35">
        <f>F43-липень!F43</f>
        <v>23.089999999999918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-34.57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4120.88</v>
      </c>
      <c r="G46" s="135">
        <f t="shared" si="0"/>
        <v>-263.1199999999999</v>
      </c>
      <c r="H46" s="137">
        <f>F46/E46*100</f>
        <v>93.99817518248176</v>
      </c>
      <c r="I46" s="136">
        <f t="shared" si="1"/>
        <v>-1797.12</v>
      </c>
      <c r="J46" s="136">
        <f t="shared" si="6"/>
        <v>69.63298411625549</v>
      </c>
      <c r="K46" s="136">
        <f>F46-80.35</f>
        <v>4040.53</v>
      </c>
      <c r="L46" s="136">
        <f>F46/80.35*100</f>
        <v>5128.662103298071</v>
      </c>
      <c r="M46" s="35">
        <f>E46-липень!E46</f>
        <v>4312</v>
      </c>
      <c r="N46" s="35">
        <f>F46-липень!F46</f>
        <v>172.1500000000001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3077.21</v>
      </c>
      <c r="G48" s="43">
        <f t="shared" si="0"/>
        <v>377.21000000000004</v>
      </c>
      <c r="H48" s="35">
        <f>F48/E48*100</f>
        <v>113.97074074074074</v>
      </c>
      <c r="I48" s="50">
        <f t="shared" si="1"/>
        <v>-1122.79</v>
      </c>
      <c r="J48" s="50">
        <f>F48/D48*100</f>
        <v>73.26690476190475</v>
      </c>
      <c r="K48" s="50">
        <f>F48-2702.66</f>
        <v>374.5500000000002</v>
      </c>
      <c r="L48" s="50">
        <f>F48/2702.66*100</f>
        <v>113.85856896538967</v>
      </c>
      <c r="M48" s="35">
        <f>E48-липень!E48</f>
        <v>350</v>
      </c>
      <c r="N48" s="35">
        <f>F48-липень!F48</f>
        <v>465.28999999999996</v>
      </c>
      <c r="O48" s="47">
        <f t="shared" si="3"/>
        <v>115.28999999999996</v>
      </c>
      <c r="P48" s="50">
        <f aca="true" t="shared" si="7" ref="P48:P53">N48/M48*100</f>
        <v>132.94</v>
      </c>
      <c r="Q48" s="50">
        <f>N48-277.38</f>
        <v>187.90999999999997</v>
      </c>
      <c r="R48" s="126">
        <f>N48/277.38</f>
        <v>1.6774461028192371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835.5</v>
      </c>
      <c r="G51" s="135">
        <f t="shared" si="0"/>
        <v>835.5</v>
      </c>
      <c r="H51" s="137"/>
      <c r="I51" s="136">
        <f t="shared" si="1"/>
        <v>835.5</v>
      </c>
      <c r="J51" s="136"/>
      <c r="K51" s="219">
        <f>F51-635.8</f>
        <v>199.70000000000005</v>
      </c>
      <c r="L51" s="219">
        <f>F51/635.8*100</f>
        <v>131.40924819125513</v>
      </c>
      <c r="M51" s="137">
        <f>E51-липень!E51</f>
        <v>0</v>
      </c>
      <c r="N51" s="137">
        <f>F51-липень!F51</f>
        <v>152.29999999999995</v>
      </c>
      <c r="O51" s="138">
        <f t="shared" si="3"/>
        <v>152.29999999999995</v>
      </c>
      <c r="P51" s="136"/>
      <c r="Q51" s="50">
        <f>N51-64.93</f>
        <v>87.36999999999995</v>
      </c>
      <c r="R51" s="126">
        <f>N51/64.93</f>
        <v>2.3456029570306476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430016.95</v>
      </c>
      <c r="G55" s="44">
        <f>F55-E55</f>
        <v>-3166.54999999993</v>
      </c>
      <c r="H55" s="45">
        <f>F55/E55*100</f>
        <v>99.26900493670698</v>
      </c>
      <c r="I55" s="31">
        <f>F55-D55</f>
        <v>-171005.64999999997</v>
      </c>
      <c r="J55" s="31">
        <f>F55/D55*100</f>
        <v>71.54755079093532</v>
      </c>
      <c r="K55" s="31">
        <f>K8+K33+K53+K54</f>
        <v>98746.53599999998</v>
      </c>
      <c r="L55" s="31">
        <f>F55/(F55-K55)*100</f>
        <v>129.8084380091969</v>
      </c>
      <c r="M55" s="18">
        <f>M8+M33+M53+M54</f>
        <v>97825.09999999999</v>
      </c>
      <c r="N55" s="18">
        <f>N8+N33+N53+N54</f>
        <v>44404.969999999965</v>
      </c>
      <c r="O55" s="49">
        <f>N55-M55</f>
        <v>-53420.13000000003</v>
      </c>
      <c r="P55" s="31">
        <f>N55/M55*100</f>
        <v>45.39220506802443</v>
      </c>
      <c r="Q55" s="31">
        <f>N55-34768</f>
        <v>9636.969999999965</v>
      </c>
      <c r="R55" s="171">
        <f>N55/34768</f>
        <v>1.277179302807178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3699.5</v>
      </c>
      <c r="G65" s="43">
        <f t="shared" si="8"/>
        <v>-1033.9399999999996</v>
      </c>
      <c r="H65" s="35">
        <f>F65/E65*100</f>
        <v>78.15668942671715</v>
      </c>
      <c r="I65" s="53">
        <f t="shared" si="9"/>
        <v>-7876.5</v>
      </c>
      <c r="J65" s="53">
        <f t="shared" si="11"/>
        <v>31.95836212854181</v>
      </c>
      <c r="K65" s="53">
        <f>F65-2291.79</f>
        <v>1407.71</v>
      </c>
      <c r="L65" s="53">
        <f>F65/2291.79*100</f>
        <v>161.42403972440755</v>
      </c>
      <c r="M65" s="35">
        <f>E65-липень!E65</f>
        <v>1020.6799999999994</v>
      </c>
      <c r="N65" s="35">
        <f>F65-липень!F65</f>
        <v>119.75</v>
      </c>
      <c r="O65" s="47">
        <f t="shared" si="10"/>
        <v>-900.9299999999994</v>
      </c>
      <c r="P65" s="53">
        <f>N65/M65*100</f>
        <v>11.732374495434424</v>
      </c>
      <c r="Q65" s="53">
        <f>N65-450.01</f>
        <v>-330.26</v>
      </c>
      <c r="R65" s="129">
        <f>N65/450.01</f>
        <v>0.2661051976622742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</v>
      </c>
      <c r="G66" s="43">
        <f t="shared" si="8"/>
        <v>801.8999999999999</v>
      </c>
      <c r="H66" s="35">
        <f>F66/E66*100</f>
        <v>177.35121057200732</v>
      </c>
      <c r="I66" s="53">
        <f t="shared" si="9"/>
        <v>-1161.4</v>
      </c>
      <c r="J66" s="53">
        <f t="shared" si="11"/>
        <v>61.28666666666667</v>
      </c>
      <c r="K66" s="53">
        <f>F66-864.62</f>
        <v>973.9799999999999</v>
      </c>
      <c r="L66" s="53">
        <f>F66/864.62*100</f>
        <v>212.648331058731</v>
      </c>
      <c r="M66" s="35">
        <f>E66-липень!E66</f>
        <v>148.10000000000002</v>
      </c>
      <c r="N66" s="35">
        <f>F66-липень!F66</f>
        <v>19.95999999999981</v>
      </c>
      <c r="O66" s="47">
        <f t="shared" si="10"/>
        <v>-128.1400000000002</v>
      </c>
      <c r="P66" s="53">
        <f>N66/M66*100</f>
        <v>13.477380148548146</v>
      </c>
      <c r="Q66" s="53">
        <f>N66-1.05</f>
        <v>18.90999999999981</v>
      </c>
      <c r="R66" s="129">
        <f>N66/1.05</f>
        <v>19.00952380952363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6131.08</v>
      </c>
      <c r="G67" s="55">
        <f t="shared" si="8"/>
        <v>-639.0599999999995</v>
      </c>
      <c r="H67" s="65">
        <f>F67/E67*100</f>
        <v>90.56060879095558</v>
      </c>
      <c r="I67" s="54">
        <f t="shared" si="9"/>
        <v>-10944.92</v>
      </c>
      <c r="J67" s="54">
        <f t="shared" si="11"/>
        <v>35.90466151323495</v>
      </c>
      <c r="K67" s="54">
        <f>K64+K65+K66</f>
        <v>1219.9899999999998</v>
      </c>
      <c r="L67" s="54"/>
      <c r="M67" s="55">
        <f>M64+M65+M66</f>
        <v>1768.7799999999993</v>
      </c>
      <c r="N67" s="55">
        <f>N64+N65+N66</f>
        <v>139.7099999999998</v>
      </c>
      <c r="O67" s="54">
        <f t="shared" si="10"/>
        <v>-1629.0699999999995</v>
      </c>
      <c r="P67" s="54">
        <f>N67/M67*100</f>
        <v>7.898664616289186</v>
      </c>
      <c r="Q67" s="54">
        <f>N67-7985.28</f>
        <v>-7845.57</v>
      </c>
      <c r="R67" s="173">
        <f>N67/7985.28</f>
        <v>0.01749594253426302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0.8999999999999999</v>
      </c>
      <c r="G71" s="55">
        <f>F71-E71</f>
        <v>-26.1</v>
      </c>
      <c r="H71" s="65"/>
      <c r="I71" s="54">
        <f>F71-D71</f>
        <v>-53.1</v>
      </c>
      <c r="J71" s="54">
        <f>F71/D71*100</f>
        <v>1.6666666666666667</v>
      </c>
      <c r="K71" s="54">
        <f>K68+K69+K70</f>
        <v>-33.6</v>
      </c>
      <c r="L71" s="54"/>
      <c r="M71" s="55">
        <f>M68+M70+M69</f>
        <v>1</v>
      </c>
      <c r="N71" s="55">
        <f>N68+N70+N69</f>
        <v>0.09</v>
      </c>
      <c r="O71" s="54">
        <f>N71-M71</f>
        <v>-0.91</v>
      </c>
      <c r="P71" s="54"/>
      <c r="Q71" s="54">
        <f>N71-26.38</f>
        <v>-26.29</v>
      </c>
      <c r="R71" s="128">
        <f>N71/26.38</f>
        <v>0.003411675511751327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20.68</v>
      </c>
      <c r="G72" s="43">
        <f>F72-E72</f>
        <v>-2.539999999999999</v>
      </c>
      <c r="H72" s="35">
        <f>F72/E72*100</f>
        <v>89.06115417743325</v>
      </c>
      <c r="I72" s="53">
        <f>F72-D72</f>
        <v>-21.32</v>
      </c>
      <c r="J72" s="53">
        <f>F72/D72*100</f>
        <v>49.238095238095234</v>
      </c>
      <c r="K72" s="53">
        <f>F72-22.62</f>
        <v>-1.9400000000000013</v>
      </c>
      <c r="L72" s="53">
        <f>F72/22.62*100</f>
        <v>91.42351900972591</v>
      </c>
      <c r="M72" s="35">
        <f>E72-липень!E72</f>
        <v>0.23000000000000043</v>
      </c>
      <c r="N72" s="35">
        <f>F72-липень!F72</f>
        <v>0.129999999999999</v>
      </c>
      <c r="O72" s="47">
        <f>N72-M72</f>
        <v>-0.10000000000000142</v>
      </c>
      <c r="P72" s="53">
        <f>N72/M72*100</f>
        <v>56.52173913043425</v>
      </c>
      <c r="Q72" s="53">
        <f>N72-0.45</f>
        <v>-0.320000000000001</v>
      </c>
      <c r="R72" s="129">
        <f>N72/0.45</f>
        <v>0.2888888888888867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6103.669999999999</v>
      </c>
      <c r="G74" s="44">
        <f>F74-E74</f>
        <v>-716.6900000000005</v>
      </c>
      <c r="H74" s="45">
        <f>F74/E74*100</f>
        <v>89.49190365317959</v>
      </c>
      <c r="I74" s="31">
        <f>F74-D74</f>
        <v>-11068.330000000002</v>
      </c>
      <c r="J74" s="31">
        <f>F74/D74*100</f>
        <v>35.54431632890752</v>
      </c>
      <c r="K74" s="31">
        <f>K62+K67+K71+K72</f>
        <v>928.8999999999997</v>
      </c>
      <c r="L74" s="31"/>
      <c r="M74" s="27">
        <f>M62+M72+M67+M71</f>
        <v>1770.0099999999993</v>
      </c>
      <c r="N74" s="27">
        <f>N62+N72+N67+N71+N73</f>
        <v>139.9299999999998</v>
      </c>
      <c r="O74" s="31">
        <f>N74-M74</f>
        <v>-1630.0799999999995</v>
      </c>
      <c r="P74" s="31">
        <f>N74/M74*100</f>
        <v>7.905605053078789</v>
      </c>
      <c r="Q74" s="31">
        <f>N74-8104.96</f>
        <v>-7965.030000000001</v>
      </c>
      <c r="R74" s="127">
        <f>N74/8104.96</f>
        <v>0.017264736655085256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436120.62</v>
      </c>
      <c r="G75" s="44">
        <f>F75-E75</f>
        <v>-3883.2399999999325</v>
      </c>
      <c r="H75" s="45">
        <f>F75/E75*100</f>
        <v>99.11745319688788</v>
      </c>
      <c r="I75" s="31">
        <f>F75-D75</f>
        <v>-182073.97999999998</v>
      </c>
      <c r="J75" s="31">
        <f>F75/D75*100</f>
        <v>70.54746515094115</v>
      </c>
      <c r="K75" s="31">
        <f>K55+K74</f>
        <v>99675.43599999997</v>
      </c>
      <c r="L75" s="31">
        <f>F75/(F75-K75)*100</f>
        <v>129.62605522093014</v>
      </c>
      <c r="M75" s="18">
        <f>M55+M74</f>
        <v>99595.10999999999</v>
      </c>
      <c r="N75" s="18">
        <f>N55+N74</f>
        <v>44544.899999999965</v>
      </c>
      <c r="O75" s="31">
        <f>N75-M75</f>
        <v>-55050.21000000002</v>
      </c>
      <c r="P75" s="31">
        <f>N75/M75*100</f>
        <v>44.72599106522396</v>
      </c>
      <c r="Q75" s="31">
        <f>N75-42872.96</f>
        <v>1671.939999999966</v>
      </c>
      <c r="R75" s="127">
        <f>N75/42872.96</f>
        <v>1.038997540641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5</v>
      </c>
      <c r="D77" s="4" t="s">
        <v>118</v>
      </c>
    </row>
    <row r="78" spans="2:17" ht="31.5">
      <c r="B78" s="71" t="s">
        <v>154</v>
      </c>
      <c r="C78" s="34">
        <f>IF(O55&lt;0,ABS(O55/C77),0)</f>
        <v>10684.026000000005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42237</v>
      </c>
      <c r="D79" s="4">
        <v>3191.6</v>
      </c>
      <c r="N79" s="251"/>
      <c r="O79" s="251"/>
    </row>
    <row r="80" spans="3:15" ht="15.75">
      <c r="C80" s="111">
        <v>42236</v>
      </c>
      <c r="D80" s="4">
        <v>2891.4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42235</v>
      </c>
      <c r="D81" s="4">
        <v>2891.4</v>
      </c>
      <c r="F81" s="90"/>
      <c r="G81" s="252"/>
      <c r="H81" s="252"/>
      <c r="I81" s="177"/>
      <c r="J81" s="257"/>
      <c r="K81" s="257"/>
      <c r="L81" s="257"/>
      <c r="M81" s="257"/>
      <c r="N81" s="251"/>
      <c r="O81" s="251"/>
    </row>
    <row r="82" spans="3:13" ht="15.75" customHeight="1">
      <c r="C82" s="111"/>
      <c r="F82" s="90"/>
      <c r="G82" s="258"/>
      <c r="H82" s="258"/>
      <c r="I82" s="221"/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f>'[3]залишки  (2)'!$G$6/1000</f>
        <v>31.76502</v>
      </c>
      <c r="E83" s="220"/>
      <c r="F83" s="222"/>
      <c r="G83" s="252"/>
      <c r="H83" s="252"/>
      <c r="I83" s="223"/>
      <c r="J83" s="253"/>
      <c r="K83" s="253"/>
      <c r="L83" s="253"/>
      <c r="M83" s="253"/>
    </row>
    <row r="84" spans="6:12" ht="9.75" customHeight="1">
      <c r="F84" s="90"/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F85" s="90"/>
      <c r="G85" s="252"/>
      <c r="H85" s="252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55" sqref="M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289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285</v>
      </c>
      <c r="N3" s="240" t="s">
        <v>286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282</v>
      </c>
      <c r="F4" s="226" t="s">
        <v>116</v>
      </c>
      <c r="G4" s="244" t="s">
        <v>283</v>
      </c>
      <c r="H4" s="246" t="s">
        <v>284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290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287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1"/>
      <c r="O79" s="251"/>
    </row>
    <row r="80" spans="3:15" ht="15.75">
      <c r="C80" s="111">
        <v>42215</v>
      </c>
      <c r="D80" s="34">
        <v>7239.9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42214</v>
      </c>
      <c r="D81" s="34">
        <v>4823.1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3:13" ht="15.75" customHeight="1">
      <c r="C82" s="111"/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24842.96012</v>
      </c>
      <c r="E83" s="73"/>
      <c r="F83" s="156" t="s">
        <v>147</v>
      </c>
      <c r="G83" s="264" t="s">
        <v>149</v>
      </c>
      <c r="H83" s="264"/>
      <c r="I83" s="107">
        <v>15933.22791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7" t="s">
        <v>280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117"/>
      <c r="R1" s="118"/>
    </row>
    <row r="2" spans="2:18" s="1" customFormat="1" ht="15.75" customHeight="1">
      <c r="B2" s="228"/>
      <c r="C2" s="228"/>
      <c r="D2" s="228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277</v>
      </c>
      <c r="N3" s="240" t="s">
        <v>278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279</v>
      </c>
      <c r="F4" s="268" t="s">
        <v>116</v>
      </c>
      <c r="G4" s="244" t="s">
        <v>275</v>
      </c>
      <c r="H4" s="246" t="s">
        <v>276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281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69"/>
      <c r="G5" s="245"/>
      <c r="H5" s="247"/>
      <c r="I5" s="249"/>
      <c r="J5" s="239"/>
      <c r="K5" s="224" t="s">
        <v>288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1"/>
      <c r="O79" s="251"/>
    </row>
    <row r="80" spans="3:15" ht="15.75">
      <c r="C80" s="111">
        <v>42181</v>
      </c>
      <c r="D80" s="34">
        <v>8722.4</v>
      </c>
      <c r="F80" s="217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42180</v>
      </c>
      <c r="D81" s="34">
        <v>4146.6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3:13" ht="15.75" customHeight="1">
      <c r="C82" s="111"/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152943.93305000002</v>
      </c>
      <c r="E83" s="73"/>
      <c r="F83" s="218" t="s">
        <v>147</v>
      </c>
      <c r="G83" s="264" t="s">
        <v>149</v>
      </c>
      <c r="H83" s="264"/>
      <c r="I83" s="107">
        <v>144034.20084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274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266</v>
      </c>
      <c r="N3" s="240" t="s">
        <v>267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262</v>
      </c>
      <c r="F4" s="226" t="s">
        <v>116</v>
      </c>
      <c r="G4" s="244" t="s">
        <v>263</v>
      </c>
      <c r="H4" s="246" t="s">
        <v>264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273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265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1"/>
      <c r="O79" s="251"/>
    </row>
    <row r="80" spans="3:15" ht="15.75">
      <c r="C80" s="111">
        <v>42152</v>
      </c>
      <c r="D80" s="34">
        <v>5845.4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42151</v>
      </c>
      <c r="D81" s="34">
        <v>3158.7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7:13" ht="15.75" customHeight="1"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153606.78</v>
      </c>
      <c r="E83" s="73"/>
      <c r="F83" s="156" t="s">
        <v>147</v>
      </c>
      <c r="G83" s="264" t="s">
        <v>149</v>
      </c>
      <c r="H83" s="264"/>
      <c r="I83" s="107">
        <v>144697.05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259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240</v>
      </c>
      <c r="N3" s="240" t="s">
        <v>241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237</v>
      </c>
      <c r="F4" s="270" t="s">
        <v>116</v>
      </c>
      <c r="G4" s="244" t="s">
        <v>238</v>
      </c>
      <c r="H4" s="246" t="s">
        <v>239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260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71"/>
      <c r="G5" s="245"/>
      <c r="H5" s="247"/>
      <c r="I5" s="249"/>
      <c r="J5" s="239"/>
      <c r="K5" s="224" t="s">
        <v>242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0"/>
      <c r="H103" s="250"/>
      <c r="I103" s="250"/>
      <c r="J103" s="25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1"/>
      <c r="O104" s="251"/>
    </row>
    <row r="105" spans="3:15" ht="15.75">
      <c r="C105" s="111">
        <v>42123</v>
      </c>
      <c r="D105" s="34">
        <v>7959.6</v>
      </c>
      <c r="F105" s="201" t="s">
        <v>166</v>
      </c>
      <c r="G105" s="252"/>
      <c r="H105" s="252"/>
      <c r="I105" s="177"/>
      <c r="J105" s="253"/>
      <c r="K105" s="253"/>
      <c r="L105" s="253"/>
      <c r="M105" s="253"/>
      <c r="N105" s="251"/>
      <c r="O105" s="251"/>
    </row>
    <row r="106" spans="3:15" ht="15.75" customHeight="1">
      <c r="C106" s="111">
        <v>42122</v>
      </c>
      <c r="D106" s="34">
        <v>4962.7</v>
      </c>
      <c r="G106" s="264" t="s">
        <v>151</v>
      </c>
      <c r="H106" s="264"/>
      <c r="I106" s="106">
        <v>8909.73221</v>
      </c>
      <c r="J106" s="257"/>
      <c r="K106" s="257"/>
      <c r="L106" s="257"/>
      <c r="M106" s="257"/>
      <c r="N106" s="251"/>
      <c r="O106" s="251"/>
    </row>
    <row r="107" spans="7:13" ht="15.75" customHeight="1">
      <c r="G107" s="265" t="s">
        <v>234</v>
      </c>
      <c r="H107" s="266"/>
      <c r="I107" s="103">
        <v>0</v>
      </c>
      <c r="J107" s="253"/>
      <c r="K107" s="253"/>
      <c r="L107" s="253"/>
      <c r="M107" s="253"/>
    </row>
    <row r="108" spans="2:13" ht="18.75" customHeight="1">
      <c r="B108" s="259" t="s">
        <v>160</v>
      </c>
      <c r="C108" s="260"/>
      <c r="D108" s="108">
        <v>154856.06924</v>
      </c>
      <c r="E108" s="73"/>
      <c r="F108" s="202" t="s">
        <v>147</v>
      </c>
      <c r="G108" s="264" t="s">
        <v>149</v>
      </c>
      <c r="H108" s="264"/>
      <c r="I108" s="107">
        <v>145946.33703</v>
      </c>
      <c r="J108" s="253"/>
      <c r="K108" s="253"/>
      <c r="L108" s="253"/>
      <c r="M108" s="253"/>
    </row>
    <row r="109" spans="7:12" ht="9.75" customHeight="1">
      <c r="G109" s="252"/>
      <c r="H109" s="252"/>
      <c r="I109" s="90"/>
      <c r="J109" s="91"/>
      <c r="K109" s="91"/>
      <c r="L109" s="91"/>
    </row>
    <row r="110" spans="2:12" ht="22.5" customHeight="1" hidden="1">
      <c r="B110" s="261" t="s">
        <v>167</v>
      </c>
      <c r="C110" s="262"/>
      <c r="D110" s="110">
        <v>0</v>
      </c>
      <c r="E110" s="70" t="s">
        <v>104</v>
      </c>
      <c r="G110" s="252"/>
      <c r="H110" s="252"/>
      <c r="I110" s="90"/>
      <c r="J110" s="91"/>
      <c r="K110" s="91"/>
      <c r="L110" s="91"/>
    </row>
    <row r="111" spans="4:15" ht="15.75">
      <c r="D111" s="105"/>
      <c r="N111" s="252"/>
      <c r="O111" s="252"/>
    </row>
    <row r="112" spans="4:15" ht="15.75">
      <c r="D112" s="104"/>
      <c r="I112" s="34"/>
      <c r="N112" s="263"/>
      <c r="O112" s="263"/>
    </row>
    <row r="113" spans="14:15" ht="15.75">
      <c r="N113" s="252"/>
      <c r="O113" s="252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235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231</v>
      </c>
      <c r="N3" s="240" t="s">
        <v>232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228</v>
      </c>
      <c r="F4" s="226" t="s">
        <v>116</v>
      </c>
      <c r="G4" s="244" t="s">
        <v>229</v>
      </c>
      <c r="H4" s="246" t="s">
        <v>230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236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233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0"/>
      <c r="H104" s="250"/>
      <c r="I104" s="250"/>
      <c r="J104" s="25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1"/>
      <c r="O105" s="251"/>
    </row>
    <row r="106" spans="3:15" ht="15.75">
      <c r="C106" s="111">
        <v>42093</v>
      </c>
      <c r="D106" s="34">
        <v>8025</v>
      </c>
      <c r="F106" s="155" t="s">
        <v>166</v>
      </c>
      <c r="G106" s="252"/>
      <c r="H106" s="252"/>
      <c r="I106" s="177"/>
      <c r="J106" s="253"/>
      <c r="K106" s="253"/>
      <c r="L106" s="253"/>
      <c r="M106" s="253"/>
      <c r="N106" s="251"/>
      <c r="O106" s="251"/>
    </row>
    <row r="107" spans="3:15" ht="15.75" customHeight="1">
      <c r="C107" s="111">
        <v>42090</v>
      </c>
      <c r="D107" s="34">
        <v>4282.6</v>
      </c>
      <c r="G107" s="264" t="s">
        <v>151</v>
      </c>
      <c r="H107" s="264"/>
      <c r="I107" s="106">
        <f>8909732.21/1000</f>
        <v>8909.73221</v>
      </c>
      <c r="J107" s="257"/>
      <c r="K107" s="257"/>
      <c r="L107" s="257"/>
      <c r="M107" s="257"/>
      <c r="N107" s="251"/>
      <c r="O107" s="251"/>
    </row>
    <row r="108" spans="7:13" ht="15.75" customHeight="1">
      <c r="G108" s="265" t="s">
        <v>234</v>
      </c>
      <c r="H108" s="266"/>
      <c r="I108" s="103">
        <v>0</v>
      </c>
      <c r="J108" s="253"/>
      <c r="K108" s="253"/>
      <c r="L108" s="253"/>
      <c r="M108" s="253"/>
    </row>
    <row r="109" spans="2:13" ht="18.75" customHeight="1">
      <c r="B109" s="259" t="s">
        <v>160</v>
      </c>
      <c r="C109" s="260"/>
      <c r="D109" s="108">
        <f>147433239.77/1000</f>
        <v>147433.23977000001</v>
      </c>
      <c r="E109" s="73"/>
      <c r="F109" s="156" t="s">
        <v>147</v>
      </c>
      <c r="G109" s="264" t="s">
        <v>149</v>
      </c>
      <c r="H109" s="264"/>
      <c r="I109" s="107">
        <f>138523507.56/1000</f>
        <v>138523.50756</v>
      </c>
      <c r="J109" s="253"/>
      <c r="K109" s="253"/>
      <c r="L109" s="253"/>
      <c r="M109" s="253"/>
    </row>
    <row r="110" spans="7:12" ht="9.75" customHeight="1">
      <c r="G110" s="252"/>
      <c r="H110" s="252"/>
      <c r="I110" s="90"/>
      <c r="J110" s="91"/>
      <c r="K110" s="91"/>
      <c r="L110" s="91"/>
    </row>
    <row r="111" spans="2:12" ht="22.5" customHeight="1" hidden="1">
      <c r="B111" s="261" t="s">
        <v>167</v>
      </c>
      <c r="C111" s="262"/>
      <c r="D111" s="110">
        <v>0</v>
      </c>
      <c r="E111" s="70" t="s">
        <v>104</v>
      </c>
      <c r="G111" s="252"/>
      <c r="H111" s="252"/>
      <c r="I111" s="90"/>
      <c r="J111" s="91"/>
      <c r="K111" s="91"/>
      <c r="L111" s="91"/>
    </row>
    <row r="112" spans="4:15" ht="15.75">
      <c r="D112" s="105"/>
      <c r="N112" s="252"/>
      <c r="O112" s="252"/>
    </row>
    <row r="113" spans="4:15" ht="15.75">
      <c r="D113" s="104"/>
      <c r="I113" s="34"/>
      <c r="N113" s="263"/>
      <c r="O113" s="263"/>
    </row>
    <row r="114" spans="14:15" ht="15.75">
      <c r="N114" s="252"/>
      <c r="O114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205</v>
      </c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221</v>
      </c>
      <c r="N3" s="240" t="s">
        <v>202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199</v>
      </c>
      <c r="F4" s="226" t="s">
        <v>116</v>
      </c>
      <c r="G4" s="244" t="s">
        <v>200</v>
      </c>
      <c r="H4" s="246" t="s">
        <v>201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226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224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0"/>
      <c r="H104" s="250"/>
      <c r="I104" s="250"/>
      <c r="J104" s="25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1"/>
      <c r="O105" s="251"/>
    </row>
    <row r="106" spans="3:15" ht="15.75">
      <c r="C106" s="111">
        <v>42061</v>
      </c>
      <c r="D106" s="34">
        <v>6003.3</v>
      </c>
      <c r="F106" s="155" t="s">
        <v>166</v>
      </c>
      <c r="G106" s="252"/>
      <c r="H106" s="252"/>
      <c r="I106" s="177"/>
      <c r="J106" s="253"/>
      <c r="K106" s="253"/>
      <c r="L106" s="253"/>
      <c r="M106" s="253"/>
      <c r="N106" s="251"/>
      <c r="O106" s="251"/>
    </row>
    <row r="107" spans="3:15" ht="15.75" customHeight="1">
      <c r="C107" s="111">
        <v>42060</v>
      </c>
      <c r="D107" s="34">
        <v>1551.3</v>
      </c>
      <c r="G107" s="264" t="s">
        <v>151</v>
      </c>
      <c r="H107" s="264"/>
      <c r="I107" s="106">
        <v>8909.73221</v>
      </c>
      <c r="J107" s="257"/>
      <c r="K107" s="257"/>
      <c r="L107" s="257"/>
      <c r="M107" s="257"/>
      <c r="N107" s="251"/>
      <c r="O107" s="251"/>
    </row>
    <row r="108" spans="7:13" ht="15.75" customHeight="1">
      <c r="G108" s="272" t="s">
        <v>155</v>
      </c>
      <c r="H108" s="272"/>
      <c r="I108" s="103">
        <v>0</v>
      </c>
      <c r="J108" s="253"/>
      <c r="K108" s="253"/>
      <c r="L108" s="253"/>
      <c r="M108" s="253"/>
    </row>
    <row r="109" spans="2:13" ht="18.75" customHeight="1">
      <c r="B109" s="259" t="s">
        <v>160</v>
      </c>
      <c r="C109" s="260"/>
      <c r="D109" s="108">
        <f>138305956.27/1000</f>
        <v>138305.95627000002</v>
      </c>
      <c r="E109" s="73"/>
      <c r="F109" s="156" t="s">
        <v>147</v>
      </c>
      <c r="G109" s="264" t="s">
        <v>149</v>
      </c>
      <c r="H109" s="264"/>
      <c r="I109" s="107">
        <v>129396.23</v>
      </c>
      <c r="J109" s="253"/>
      <c r="K109" s="253"/>
      <c r="L109" s="253"/>
      <c r="M109" s="253"/>
    </row>
    <row r="110" spans="7:12" ht="9.75" customHeight="1">
      <c r="G110" s="252"/>
      <c r="H110" s="252"/>
      <c r="I110" s="90"/>
      <c r="J110" s="91"/>
      <c r="K110" s="91"/>
      <c r="L110" s="91"/>
    </row>
    <row r="111" spans="2:12" ht="22.5" customHeight="1" hidden="1">
      <c r="B111" s="261" t="s">
        <v>167</v>
      </c>
      <c r="C111" s="262"/>
      <c r="D111" s="110">
        <v>0</v>
      </c>
      <c r="E111" s="70" t="s">
        <v>104</v>
      </c>
      <c r="G111" s="252"/>
      <c r="H111" s="252"/>
      <c r="I111" s="90"/>
      <c r="J111" s="91"/>
      <c r="K111" s="91"/>
      <c r="L111" s="91"/>
    </row>
    <row r="112" spans="4:15" ht="15.75">
      <c r="D112" s="105"/>
      <c r="N112" s="252"/>
      <c r="O112" s="252"/>
    </row>
    <row r="113" spans="4:15" ht="15.75">
      <c r="D113" s="104"/>
      <c r="I113" s="34"/>
      <c r="N113" s="263"/>
      <c r="O113" s="263"/>
    </row>
    <row r="114" spans="14:15" ht="15.75">
      <c r="N114" s="252"/>
      <c r="O114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193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205</v>
      </c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220</v>
      </c>
      <c r="N3" s="240" t="s">
        <v>175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219</v>
      </c>
      <c r="F4" s="226" t="s">
        <v>116</v>
      </c>
      <c r="G4" s="244" t="s">
        <v>173</v>
      </c>
      <c r="H4" s="279" t="s">
        <v>174</v>
      </c>
      <c r="I4" s="277" t="s">
        <v>217</v>
      </c>
      <c r="J4" s="275" t="s">
        <v>218</v>
      </c>
      <c r="K4" s="116" t="s">
        <v>172</v>
      </c>
      <c r="L4" s="121" t="s">
        <v>171</v>
      </c>
      <c r="M4" s="238"/>
      <c r="N4" s="254" t="s">
        <v>194</v>
      </c>
      <c r="O4" s="277" t="s">
        <v>136</v>
      </c>
      <c r="P4" s="240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80"/>
      <c r="I5" s="278"/>
      <c r="J5" s="276"/>
      <c r="K5" s="224" t="s">
        <v>188</v>
      </c>
      <c r="L5" s="225"/>
      <c r="M5" s="239"/>
      <c r="N5" s="255"/>
      <c r="O5" s="278"/>
      <c r="P5" s="240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0"/>
      <c r="H102" s="250"/>
      <c r="I102" s="250"/>
      <c r="J102" s="25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1"/>
      <c r="O103" s="251"/>
    </row>
    <row r="104" spans="3:15" ht="15.75">
      <c r="C104" s="111">
        <v>42033</v>
      </c>
      <c r="D104" s="34">
        <v>2896.5</v>
      </c>
      <c r="F104" s="155" t="s">
        <v>166</v>
      </c>
      <c r="G104" s="264" t="s">
        <v>151</v>
      </c>
      <c r="H104" s="264"/>
      <c r="I104" s="106">
        <f>'січень '!I139</f>
        <v>8909.733</v>
      </c>
      <c r="J104" s="273" t="s">
        <v>161</v>
      </c>
      <c r="K104" s="273"/>
      <c r="L104" s="273"/>
      <c r="M104" s="273"/>
      <c r="N104" s="251"/>
      <c r="O104" s="251"/>
    </row>
    <row r="105" spans="3:15" ht="15.75">
      <c r="C105" s="111">
        <v>42032</v>
      </c>
      <c r="D105" s="34">
        <v>2838.1</v>
      </c>
      <c r="G105" s="272" t="s">
        <v>155</v>
      </c>
      <c r="H105" s="272"/>
      <c r="I105" s="103">
        <f>'січень '!I140</f>
        <v>0</v>
      </c>
      <c r="J105" s="274" t="s">
        <v>162</v>
      </c>
      <c r="K105" s="274"/>
      <c r="L105" s="274"/>
      <c r="M105" s="274"/>
      <c r="N105" s="251"/>
      <c r="O105" s="251"/>
    </row>
    <row r="106" spans="7:13" ht="15.75" customHeight="1">
      <c r="G106" s="264" t="s">
        <v>148</v>
      </c>
      <c r="H106" s="264"/>
      <c r="I106" s="103">
        <f>'січень '!I141</f>
        <v>0</v>
      </c>
      <c r="J106" s="273" t="s">
        <v>163</v>
      </c>
      <c r="K106" s="273"/>
      <c r="L106" s="273"/>
      <c r="M106" s="273"/>
    </row>
    <row r="107" spans="2:13" ht="18.75" customHeight="1">
      <c r="B107" s="259" t="s">
        <v>160</v>
      </c>
      <c r="C107" s="260"/>
      <c r="D107" s="108">
        <f>'січень '!D142</f>
        <v>132375.63</v>
      </c>
      <c r="E107" s="73"/>
      <c r="F107" s="156" t="s">
        <v>147</v>
      </c>
      <c r="G107" s="264" t="s">
        <v>149</v>
      </c>
      <c r="H107" s="264"/>
      <c r="I107" s="107">
        <f>'січень '!I142</f>
        <v>123465.893</v>
      </c>
      <c r="J107" s="273" t="s">
        <v>164</v>
      </c>
      <c r="K107" s="273"/>
      <c r="L107" s="273"/>
      <c r="M107" s="273"/>
    </row>
    <row r="108" spans="7:12" ht="9.75" customHeight="1">
      <c r="G108" s="252"/>
      <c r="H108" s="252"/>
      <c r="I108" s="90"/>
      <c r="J108" s="91"/>
      <c r="K108" s="91"/>
      <c r="L108" s="91"/>
    </row>
    <row r="109" spans="2:12" ht="22.5" customHeight="1" hidden="1">
      <c r="B109" s="261" t="s">
        <v>167</v>
      </c>
      <c r="C109" s="262"/>
      <c r="D109" s="110">
        <v>0</v>
      </c>
      <c r="E109" s="70" t="s">
        <v>104</v>
      </c>
      <c r="G109" s="252"/>
      <c r="H109" s="252"/>
      <c r="I109" s="90"/>
      <c r="J109" s="91"/>
      <c r="K109" s="91"/>
      <c r="L109" s="91"/>
    </row>
    <row r="110" spans="4:15" ht="15.75">
      <c r="D110" s="105"/>
      <c r="N110" s="252"/>
      <c r="O110" s="252"/>
    </row>
    <row r="111" spans="4:15" ht="15.75">
      <c r="D111" s="104"/>
      <c r="I111" s="34"/>
      <c r="N111" s="263"/>
      <c r="O111" s="263"/>
    </row>
    <row r="112" spans="14:15" ht="15.75">
      <c r="N112" s="252"/>
      <c r="O112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7" t="s">
        <v>193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203</v>
      </c>
      <c r="C3" s="232" t="s">
        <v>0</v>
      </c>
      <c r="D3" s="233" t="s">
        <v>190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187</v>
      </c>
      <c r="N3" s="240" t="s">
        <v>175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153</v>
      </c>
      <c r="F4" s="226" t="s">
        <v>116</v>
      </c>
      <c r="G4" s="244" t="s">
        <v>173</v>
      </c>
      <c r="H4" s="279" t="s">
        <v>174</v>
      </c>
      <c r="I4" s="277" t="s">
        <v>186</v>
      </c>
      <c r="J4" s="275" t="s">
        <v>189</v>
      </c>
      <c r="K4" s="116" t="s">
        <v>172</v>
      </c>
      <c r="L4" s="121" t="s">
        <v>171</v>
      </c>
      <c r="M4" s="238"/>
      <c r="N4" s="254" t="s">
        <v>194</v>
      </c>
      <c r="O4" s="277" t="s">
        <v>136</v>
      </c>
      <c r="P4" s="240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80"/>
      <c r="I5" s="278"/>
      <c r="J5" s="276"/>
      <c r="K5" s="224" t="s">
        <v>188</v>
      </c>
      <c r="L5" s="225"/>
      <c r="M5" s="239"/>
      <c r="N5" s="255"/>
      <c r="O5" s="278"/>
      <c r="P5" s="240"/>
      <c r="Q5" s="224" t="s">
        <v>176</v>
      </c>
      <c r="R5" s="225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0"/>
      <c r="H137" s="250"/>
      <c r="I137" s="250"/>
      <c r="J137" s="25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1"/>
      <c r="O138" s="251"/>
    </row>
    <row r="139" spans="3:15" ht="15.75">
      <c r="C139" s="111">
        <v>42033</v>
      </c>
      <c r="D139" s="34">
        <v>2896.5</v>
      </c>
      <c r="F139" s="155" t="s">
        <v>166</v>
      </c>
      <c r="G139" s="264" t="s">
        <v>151</v>
      </c>
      <c r="H139" s="264"/>
      <c r="I139" s="106">
        <f>8909.733</f>
        <v>8909.733</v>
      </c>
      <c r="J139" s="273" t="s">
        <v>161</v>
      </c>
      <c r="K139" s="273"/>
      <c r="L139" s="273"/>
      <c r="M139" s="273"/>
      <c r="N139" s="251"/>
      <c r="O139" s="251"/>
    </row>
    <row r="140" spans="3:15" ht="15.75">
      <c r="C140" s="111">
        <v>42032</v>
      </c>
      <c r="D140" s="34">
        <v>2838.1</v>
      </c>
      <c r="G140" s="272" t="s">
        <v>155</v>
      </c>
      <c r="H140" s="272"/>
      <c r="I140" s="103">
        <v>0</v>
      </c>
      <c r="J140" s="274" t="s">
        <v>162</v>
      </c>
      <c r="K140" s="274"/>
      <c r="L140" s="274"/>
      <c r="M140" s="274"/>
      <c r="N140" s="251"/>
      <c r="O140" s="251"/>
    </row>
    <row r="141" spans="7:13" ht="15.75" customHeight="1">
      <c r="G141" s="264" t="s">
        <v>148</v>
      </c>
      <c r="H141" s="264"/>
      <c r="I141" s="103">
        <v>0</v>
      </c>
      <c r="J141" s="273" t="s">
        <v>163</v>
      </c>
      <c r="K141" s="273"/>
      <c r="L141" s="273"/>
      <c r="M141" s="273"/>
    </row>
    <row r="142" spans="2:13" ht="18.75" customHeight="1">
      <c r="B142" s="259" t="s">
        <v>160</v>
      </c>
      <c r="C142" s="260"/>
      <c r="D142" s="108">
        <f>132375.63</f>
        <v>132375.63</v>
      </c>
      <c r="E142" s="73"/>
      <c r="F142" s="156" t="s">
        <v>147</v>
      </c>
      <c r="G142" s="264" t="s">
        <v>149</v>
      </c>
      <c r="H142" s="264"/>
      <c r="I142" s="107">
        <f>123465.893</f>
        <v>123465.893</v>
      </c>
      <c r="J142" s="273" t="s">
        <v>164</v>
      </c>
      <c r="K142" s="273"/>
      <c r="L142" s="273"/>
      <c r="M142" s="273"/>
    </row>
    <row r="143" spans="7:12" ht="9.75" customHeight="1">
      <c r="G143" s="252"/>
      <c r="H143" s="252"/>
      <c r="I143" s="90"/>
      <c r="J143" s="91"/>
      <c r="K143" s="91"/>
      <c r="L143" s="91"/>
    </row>
    <row r="144" spans="2:12" ht="22.5" customHeight="1" hidden="1">
      <c r="B144" s="261" t="s">
        <v>167</v>
      </c>
      <c r="C144" s="262"/>
      <c r="D144" s="110">
        <v>0</v>
      </c>
      <c r="E144" s="70" t="s">
        <v>104</v>
      </c>
      <c r="G144" s="252"/>
      <c r="H144" s="252"/>
      <c r="I144" s="90"/>
      <c r="J144" s="91"/>
      <c r="K144" s="91"/>
      <c r="L144" s="91"/>
    </row>
    <row r="145" spans="4:15" ht="15.75">
      <c r="D145" s="105"/>
      <c r="N145" s="252"/>
      <c r="O145" s="252"/>
    </row>
    <row r="146" spans="4:15" ht="15.75">
      <c r="D146" s="104"/>
      <c r="I146" s="34"/>
      <c r="N146" s="263"/>
      <c r="O146" s="263"/>
    </row>
    <row r="147" spans="14:15" ht="15.75">
      <c r="N147" s="252"/>
      <c r="O147" s="25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2015-08-25T08:01:27Z</cp:lastPrinted>
  <dcterms:created xsi:type="dcterms:W3CDTF">2003-07-28T11:27:56Z</dcterms:created>
  <dcterms:modified xsi:type="dcterms:W3CDTF">2015-08-25T08:01:46Z</dcterms:modified>
  <cp:category/>
  <cp:version/>
  <cp:contentType/>
  <cp:contentStatus/>
</cp:coreProperties>
</file>